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 tabRatio="655"/>
  </bookViews>
  <sheets>
    <sheet name="INGRESOS" sheetId="1" r:id="rId1"/>
    <sheet name="GASTOS ENERO 2014" sheetId="4" r:id="rId2"/>
    <sheet name="GASTOS FEBRERO 2014" sheetId="8" r:id="rId3"/>
    <sheet name="GASTOS MARZO 2014" sheetId="9" r:id="rId4"/>
    <sheet name="GASTOS ABRIL 2014" sheetId="10" r:id="rId5"/>
    <sheet name="GASTOS DE MAYO 2014" sheetId="11" r:id="rId6"/>
    <sheet name="Sheet1" sheetId="12" r:id="rId7"/>
  </sheets>
  <calcPr calcId="124519"/>
</workbook>
</file>

<file path=xl/calcChain.xml><?xml version="1.0" encoding="utf-8"?>
<calcChain xmlns="http://schemas.openxmlformats.org/spreadsheetml/2006/main">
  <c r="B9" i="1"/>
  <c r="B59" i="11"/>
  <c r="B19"/>
  <c r="B12"/>
  <c r="B58"/>
  <c r="B44"/>
  <c r="B46"/>
  <c r="B29"/>
  <c r="B38"/>
  <c r="B48"/>
  <c r="B49"/>
  <c r="B54"/>
  <c r="B34"/>
  <c r="B33"/>
  <c r="B16"/>
  <c r="B25"/>
  <c r="B40"/>
  <c r="B47"/>
  <c r="B13"/>
  <c r="B36"/>
  <c r="B14"/>
  <c r="B15"/>
  <c r="B11"/>
  <c r="B28"/>
  <c r="B41"/>
  <c r="B39"/>
  <c r="B32"/>
  <c r="B45"/>
  <c r="B17"/>
  <c r="B23"/>
  <c r="B55"/>
  <c r="B31"/>
  <c r="B21"/>
  <c r="B30"/>
  <c r="B51"/>
  <c r="B37"/>
  <c r="B20"/>
  <c r="B26"/>
  <c r="B18"/>
  <c r="B30" i="10"/>
  <c r="B65" s="1"/>
  <c r="B11"/>
  <c r="B16"/>
  <c r="B12"/>
  <c r="B39"/>
  <c r="B22"/>
  <c r="B34"/>
  <c r="B10"/>
  <c r="B54"/>
  <c r="B64"/>
  <c r="B38" i="9"/>
  <c r="B20"/>
  <c r="B25"/>
  <c r="B32"/>
  <c r="B26"/>
  <c r="B35"/>
  <c r="B10"/>
  <c r="B22"/>
  <c r="B37"/>
  <c r="B31"/>
  <c r="B21"/>
  <c r="B18"/>
  <c r="B29"/>
  <c r="B34"/>
  <c r="B24"/>
  <c r="B36"/>
  <c r="B12"/>
  <c r="B15"/>
  <c r="B52" i="8"/>
  <c r="B20"/>
  <c r="B46"/>
  <c r="B40"/>
  <c r="B10"/>
  <c r="B14"/>
  <c r="B12"/>
  <c r="B24"/>
  <c r="B47"/>
  <c r="B49"/>
  <c r="B45"/>
  <c r="B41"/>
  <c r="B35"/>
  <c r="B31"/>
  <c r="B30"/>
  <c r="B27"/>
  <c r="B51"/>
  <c r="B42"/>
  <c r="B18"/>
  <c r="B19"/>
  <c r="B32"/>
  <c r="B43"/>
  <c r="B11"/>
  <c r="B28"/>
  <c r="B39"/>
  <c r="B26" i="4"/>
  <c r="B20"/>
  <c r="B18"/>
  <c r="B23"/>
  <c r="B13"/>
  <c r="B11"/>
  <c r="B19"/>
  <c r="B25"/>
  <c r="B9"/>
  <c r="B24"/>
  <c r="B15"/>
  <c r="B17"/>
  <c r="B14"/>
  <c r="B22"/>
  <c r="B16"/>
  <c r="G12" i="1"/>
  <c r="E13"/>
  <c r="D13"/>
  <c r="C13"/>
  <c r="B13"/>
  <c r="G9" l="1"/>
  <c r="G13" s="1"/>
  <c r="F13"/>
</calcChain>
</file>

<file path=xl/comments1.xml><?xml version="1.0" encoding="utf-8"?>
<comments xmlns="http://schemas.openxmlformats.org/spreadsheetml/2006/main">
  <authors>
    <author>junilka_grullon</author>
  </authors>
  <commentList>
    <comment ref="B26" authorId="0">
      <text>
        <r>
          <rPr>
            <b/>
            <sz val="9"/>
            <color indexed="81"/>
            <rFont val="Tahoma"/>
            <family val="2"/>
          </rPr>
          <t>SE RESTO LOS CKS. REINTEGRADOS NOS. 13461, 13471, 13477, 13482, 13483, 13491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junilka_grullon</author>
  </authors>
  <commentList>
    <comment ref="B52" authorId="0">
      <text>
        <r>
          <rPr>
            <b/>
            <sz val="9"/>
            <color indexed="81"/>
            <rFont val="Tahoma"/>
            <family val="2"/>
          </rPr>
          <t>SE RESTO LOS CKS. REINTEGRADOS NOS. 13461, 13471, 13477, 13482, 13483, 13491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junilka_grullon</author>
  </authors>
  <commentList>
    <comment ref="B38" authorId="0">
      <text>
        <r>
          <rPr>
            <b/>
            <sz val="9"/>
            <color indexed="81"/>
            <rFont val="Tahoma"/>
            <family val="2"/>
          </rPr>
          <t>SE RESTO LOS CKS. REINTEGRADOS NOS. 13461, 13471, 13477, 13482, 13483, 13491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junilka_grullon</author>
  </authors>
  <commentList>
    <comment ref="B65" authorId="0">
      <text>
        <r>
          <rPr>
            <b/>
            <sz val="9"/>
            <color indexed="81"/>
            <rFont val="Tahoma"/>
            <family val="2"/>
          </rPr>
          <t>SE RESTO LOS CKS. REINTEGRADOS NOS. 13461, 13471, 13477, 13482, 13483, 13491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junilka_grullon</author>
  </authors>
  <commentList>
    <comment ref="B59" authorId="0">
      <text>
        <r>
          <rPr>
            <b/>
            <sz val="9"/>
            <color indexed="81"/>
            <rFont val="Tahoma"/>
            <family val="2"/>
          </rPr>
          <t>SE RESTO LOS CKS. REINTEGRADOS NOS. 13461, 13471, 13477, 13482, 13483, 13491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<sst xmlns="http://schemas.openxmlformats.org/spreadsheetml/2006/main" count="238" uniqueCount="101">
  <si>
    <t>MINISTERIO DE TRABAJO</t>
  </si>
  <si>
    <t>INGRESOS</t>
  </si>
  <si>
    <t>EN RD$</t>
  </si>
  <si>
    <t>ENERO</t>
  </si>
  <si>
    <t>FEBRERO</t>
  </si>
  <si>
    <t>MARZO</t>
  </si>
  <si>
    <t>ABRIL</t>
  </si>
  <si>
    <t>MAYO</t>
  </si>
  <si>
    <t>TOTAL</t>
  </si>
  <si>
    <t>GASTOS</t>
  </si>
  <si>
    <t>CUENTAS</t>
  </si>
  <si>
    <t>Colector de Impuestos internos</t>
  </si>
  <si>
    <t xml:space="preserve">TOTAL </t>
  </si>
  <si>
    <t>TOTAL POR CUENTA</t>
  </si>
  <si>
    <t>PRODUCTOS QUIMICOS Y CONEXOS NO. 342</t>
  </si>
  <si>
    <t>ARTICULOS DE PLASTICOS NO. 355</t>
  </si>
  <si>
    <t>PRODUCTOS METALICOS NO. 365</t>
  </si>
  <si>
    <t>EQUIPO EDUCACIONAL Y RECREATIVO NO. 612</t>
  </si>
  <si>
    <t>CUENTA NO. 010-391859-0 MICELANEOS</t>
  </si>
  <si>
    <t>CUENTA 240-015398-6 COLECTOR DE RECURSOS</t>
  </si>
  <si>
    <t>DESDE ENERO HASTA MAYO 2014</t>
  </si>
  <si>
    <t>ELECTRICIDAD NO. 2.2.1.6.1</t>
  </si>
  <si>
    <t>MANTENIMIENTO Y REPARACION DE EQUIPO DE TRANSPORTE, TRACCION Y ELEVACION 2.2.7.2.6</t>
  </si>
  <si>
    <t>PRENDAS DE VESTIR NO. 2.3.2.3.01</t>
  </si>
  <si>
    <t>EQUIPOS COMPUTACIONAL NO. 2.6.1.3.01</t>
  </si>
  <si>
    <t>LLANTES Y NEUMATICOS NO. 2.3.5.3.01</t>
  </si>
  <si>
    <t>PRODUCTOS ELECTRICOS Y AFINES NO. 2.3.9.6.01</t>
  </si>
  <si>
    <t>ACEITES Y GRASAS 2.3.7.1.05</t>
  </si>
  <si>
    <t>EQUIPO DE GENERACION ELECTRICA, APARATOS Y ACCESORIOS ELECTRICOS NO. 2.6.5.6.01</t>
  </si>
  <si>
    <t>PRODUCTOS Y UTILES VARIOS NO. 2.3.9.9.01</t>
  </si>
  <si>
    <t>TRANSFERENCIAS CORRIENTES A INSTITUCIONES SIN FINES DE LUCRO NO. 2.4.1.6.01</t>
  </si>
  <si>
    <t>AGUA NO. 2.2.1.7.01</t>
  </si>
  <si>
    <t>ALIMENTOS Y BEBIDAS PARA PERSONAS NO. 2.3.1.1.01</t>
  </si>
  <si>
    <t>PRODUCTOS DE CEMENTO NO. 2.3.6.1.01</t>
  </si>
  <si>
    <t>UTILES DE ESCRITORIO, OFICINA, INFORMATICA NO. 2.3.9.2.01</t>
  </si>
  <si>
    <t>LAVANDERIA NO. 2.2.8.5.02</t>
  </si>
  <si>
    <t>ARBOLES CULTIVOS Y PLANTAS NO. 2.6.6.9.01</t>
  </si>
  <si>
    <t>OTROS MOBILIARIOS Y EQUIPOS NO IDENTIFICADOS NO. 2.6.1.5.01</t>
  </si>
  <si>
    <t>PRODUCTO DE PAPEL Y CARTO NO. 2.3.3.2.01</t>
  </si>
  <si>
    <t>SISTEMA DE AIRES ACONDICIONADOS, CALEFACION Y REFRIGERACION NO. 2.6.5.4.01</t>
  </si>
  <si>
    <t>PRODUCTOS DE ARTE GRAFICAS NO. 2.3.3.3.01</t>
  </si>
  <si>
    <t>UTILES DE COCINA Y COMEDOR NO. 2.3.9.5.01</t>
  </si>
  <si>
    <t>PRODUCTOS QUIMICOS NO. 2.3.7.2.03</t>
  </si>
  <si>
    <t>LUBRICANTES NO. 2.3.7.1.06</t>
  </si>
  <si>
    <t>EQUIPOS DE TELECOMUNICACIONES Y SEÑALAMIENTO NO. 2.6.5.5.01</t>
  </si>
  <si>
    <t>ACCESORIOS DE METAL NO. 2.3.6.3.06</t>
  </si>
  <si>
    <t>VIATICOS DENTRO DEL PAIS NO. 2.2.3.1.01</t>
  </si>
  <si>
    <t>IMPRESIÓN Y ENCUADERNACION NO. 2.2.2.2.01</t>
  </si>
  <si>
    <t>SERVICIO DE MANTENIMIENTO Y REPARACION NO. 2.2.7.1.02</t>
  </si>
  <si>
    <t xml:space="preserve">IMPUESTOS PARA REVISTAS VEHICULOS NO. 2.8.8.0.1.04 </t>
  </si>
  <si>
    <t>EQUIPOS Y APARATOS AUDIOVISUALES NO. 2.6.2.1.01</t>
  </si>
  <si>
    <t>HERRAMIENTAS MENORES NO. 2.3.6.3.04</t>
  </si>
  <si>
    <t>PRODUCTOS ABRASIVOS NO. 2.3.6.4.06</t>
  </si>
  <si>
    <t>ARTICULOS DE PLASTICOS NO. 2.3.5.5.01</t>
  </si>
  <si>
    <t>MAQUINARIAS Y EQUIPOS INDUSTRIAL NO. 2.6.5.2.01</t>
  </si>
  <si>
    <t>MANTENIMIENTO Y REPARACION DE EQUIPO PARA COMPUTACION NO. 2.2.7.2.02</t>
  </si>
  <si>
    <t>SERVICIOS JURIDICOS NO. 2.2.8.7.02</t>
  </si>
  <si>
    <t>PIEDRA, ARCILLA Y ARENA NO. 2.3.6.4.04</t>
  </si>
  <si>
    <t>PRODUCTOS FERROSOS NO. 2.3.6.3.01</t>
  </si>
  <si>
    <t>MADERA, CORCHO Y SUS MANUFACTURAS NO. 2.3.1.4.01</t>
  </si>
  <si>
    <t>OTROS ALQUILERES NO. 2.2.5.8.01</t>
  </si>
  <si>
    <t>ALQUILERES Y RENTAS DE EDIFICIOS Y LOCALES NO. 2.2.5.1.01</t>
  </si>
  <si>
    <t>OBRAS MENORES EN EDIFICACIONES</t>
  </si>
  <si>
    <t>HILADOS Y TELAS NO. 2.3.2.1.01</t>
  </si>
  <si>
    <t>SERVICIOS DE INFORMATICA Y SISTEMAS COMPUTARIZADOS NO. 2.2.8.7.05</t>
  </si>
  <si>
    <t>FLETES NO. 2.2.4.2.01</t>
  </si>
  <si>
    <t>SERVICIOS DE CAPACITACION NO. 2.2.8.7.04</t>
  </si>
  <si>
    <t>ACABADOS TEXTILES NO. 2.3.2.2.01</t>
  </si>
  <si>
    <t>UTILES DESTINADOS A ACTIVIDADES DEPORTIVAS Y RECREATIVAS NO. 2.3.9.4.01</t>
  </si>
  <si>
    <t>MATERIALES Y UTILES PARA LIMPIEZA NO. 2.3.9.1.01</t>
  </si>
  <si>
    <t>MANTENIMIENTO Y REPARACION DE EQUIPOS DE OFICINA Y MUEBLES NO. 2.2.7.2.04</t>
  </si>
  <si>
    <t>PEAJE NO. 2.2.4.4.01</t>
  </si>
  <si>
    <t>FESTIVIDADES NO. 2.2.8.6.02</t>
  </si>
  <si>
    <t>MANTENIMIENTO Y REPARACION DE EQUIPO DE TRANSPORTE, TRACCION Y ELEVACION 2.2.7.2.06</t>
  </si>
  <si>
    <t>PRODUCTOS DE ARTES GRAFICAS NO. 2.3.3.3.01</t>
  </si>
  <si>
    <t>OBRAS MENORES EN EDIFICACIONES NO. 2.2.7.1.01</t>
  </si>
  <si>
    <t>PRODUCTO DE PAPEL Y CARTON  NO. 2.3.3.2.01</t>
  </si>
  <si>
    <t>COLECTOR DE IMPUESTOS INTERNOS</t>
  </si>
  <si>
    <t>EVENTOS GENERALES NO. 2.2.8.6.01</t>
  </si>
  <si>
    <t>ESTUDIOS, INVESTIGACIONES Y ANALISIS DE FACTIBILIDAD NO. 2.2.8.7.01</t>
  </si>
  <si>
    <t>PASAJES NO. 2.2.4.1.01</t>
  </si>
  <si>
    <t>PRODUCTOS DE ARCILLAS Y DERIVADOS NO. 2.3.6.1.05</t>
  </si>
  <si>
    <t>ESTRUCTURAS METALICAS ACABADAS NO. 2.3.6.3.03</t>
  </si>
  <si>
    <t>PEAJES NO. 2.2.4.4.01</t>
  </si>
  <si>
    <t>ARTICULOS DE CAUCHO NO. 2.3.5.4.01</t>
  </si>
  <si>
    <t>SERVICIOS DE PINTURAY DERIVADOS CON FIN DE HIGIENE Y EMB. NO. 2.2.7.1.07</t>
  </si>
  <si>
    <t>ACEITES Y GRASAS NO. 2.3.7.1.05</t>
  </si>
  <si>
    <t>BALANCE</t>
  </si>
  <si>
    <t>EQUIPOS DE GENERACION ELECTRICA, APARATOS Y ACCESORIOS ELECTRICOS NO. 2.6.5.6.01</t>
  </si>
  <si>
    <t>PRODUCTOS FORESTALES NO. 2.3.1.3.03</t>
  </si>
  <si>
    <t>OTROS SERVICIOS TECNICOS PROFESIONALES NO. 2.2.8.7.06</t>
  </si>
  <si>
    <t>CAMARA FOTOGRAFICAS Y DE VIDEO NO. 2.6.2.3.01</t>
  </si>
  <si>
    <t>MUEBLES DE OFICINA Y ESTANTERIA NO. 2.6.1.1.01</t>
  </si>
  <si>
    <t>GAS GLP NO. 2.3.7.1.04</t>
  </si>
  <si>
    <t>INSECTICIDAS, FUMIGANTES Y OTROS NO. 2.3.7.2.05</t>
  </si>
  <si>
    <t>GAS-OIL NO. 2.3.7.1.02</t>
  </si>
  <si>
    <t>PRODUCTOS NO FERROSO NO. 2.3.6.3.02</t>
  </si>
  <si>
    <t>GASOLINA NO. 2.3.7.1.01</t>
  </si>
  <si>
    <t>LLANTAS Y NEUMATICOS NO. 2.3.5.3.01</t>
  </si>
  <si>
    <t>PRODUCTO DE PAPEL Y CARTON NO. 2.3.3.2.01</t>
  </si>
  <si>
    <t>PRODUCTOS DE HOJALATA NO. 2.3.6.3.05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</si>
</sst>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43" fontId="0" fillId="2" borderId="11" xfId="1" applyFont="1" applyFill="1" applyBorder="1" applyAlignment="1"/>
    <xf numFmtId="43" fontId="0" fillId="2" borderId="1" xfId="1" applyFont="1" applyFill="1" applyBorder="1" applyAlignment="1"/>
    <xf numFmtId="43" fontId="2" fillId="2" borderId="0" xfId="0" applyNumberFormat="1" applyFont="1" applyFill="1" applyBorder="1"/>
    <xf numFmtId="43" fontId="3" fillId="3" borderId="14" xfId="0" applyNumberFormat="1" applyFont="1" applyFill="1" applyBorder="1"/>
    <xf numFmtId="43" fontId="3" fillId="3" borderId="14" xfId="0" applyNumberFormat="1" applyFont="1" applyFill="1" applyBorder="1" applyAlignment="1"/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43" fontId="3" fillId="2" borderId="0" xfId="0" applyNumberFormat="1" applyFont="1" applyFill="1" applyBorder="1"/>
    <xf numFmtId="0" fontId="3" fillId="3" borderId="8" xfId="0" applyFont="1" applyFill="1" applyBorder="1" applyAlignment="1">
      <alignment horizontal="center"/>
    </xf>
    <xf numFmtId="43" fontId="0" fillId="2" borderId="1" xfId="0" applyNumberFormat="1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3" fontId="0" fillId="2" borderId="12" xfId="1" applyFont="1" applyFill="1" applyBorder="1" applyAlignment="1"/>
    <xf numFmtId="0" fontId="2" fillId="2" borderId="0" xfId="0" applyFont="1" applyFill="1"/>
    <xf numFmtId="0" fontId="0" fillId="2" borderId="0" xfId="0" applyFont="1" applyFill="1"/>
    <xf numFmtId="43" fontId="1" fillId="2" borderId="11" xfId="1" applyFont="1" applyFill="1" applyBorder="1" applyAlignment="1"/>
    <xf numFmtId="43" fontId="0" fillId="2" borderId="0" xfId="1" applyFont="1" applyFill="1" applyBorder="1"/>
    <xf numFmtId="43" fontId="0" fillId="2" borderId="0" xfId="1" applyFont="1" applyFill="1"/>
    <xf numFmtId="43" fontId="0" fillId="2" borderId="0" xfId="0" applyNumberFormat="1" applyFill="1" applyBorder="1"/>
    <xf numFmtId="164" fontId="3" fillId="3" borderId="14" xfId="0" applyNumberFormat="1" applyFont="1" applyFill="1" applyBorder="1" applyAlignment="1"/>
    <xf numFmtId="0" fontId="4" fillId="2" borderId="0" xfId="0" applyFont="1" applyFill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3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3" fontId="0" fillId="2" borderId="11" xfId="1" applyFont="1" applyFill="1" applyBorder="1" applyAlignment="1">
      <alignment horizontal="center"/>
    </xf>
    <xf numFmtId="43" fontId="0" fillId="2" borderId="12" xfId="1" applyFont="1" applyFill="1" applyBorder="1" applyAlignment="1">
      <alignment horizontal="center"/>
    </xf>
    <xf numFmtId="43" fontId="0" fillId="2" borderId="13" xfId="1" applyFont="1" applyFill="1" applyBorder="1" applyAlignment="1">
      <alignment horizontal="center"/>
    </xf>
    <xf numFmtId="43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3" fontId="3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7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200025</xdr:rowOff>
    </xdr:from>
    <xdr:to>
      <xdr:col>0</xdr:col>
      <xdr:colOff>1228725</xdr:colOff>
      <xdr:row>6</xdr:row>
      <xdr:rowOff>133351</xdr:rowOff>
    </xdr:to>
    <xdr:pic>
      <xdr:nvPicPr>
        <xdr:cNvPr id="2" name="1 Imagen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00025"/>
          <a:ext cx="1000125" cy="1495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95249</xdr:rowOff>
    </xdr:from>
    <xdr:to>
      <xdr:col>0</xdr:col>
      <xdr:colOff>1400175</xdr:colOff>
      <xdr:row>5</xdr:row>
      <xdr:rowOff>161925</xdr:rowOff>
    </xdr:to>
    <xdr:pic>
      <xdr:nvPicPr>
        <xdr:cNvPr id="2" name="1 Imagen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95249"/>
          <a:ext cx="1133475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95249</xdr:rowOff>
    </xdr:from>
    <xdr:to>
      <xdr:col>0</xdr:col>
      <xdr:colOff>1400175</xdr:colOff>
      <xdr:row>5</xdr:row>
      <xdr:rowOff>161925</xdr:rowOff>
    </xdr:to>
    <xdr:pic>
      <xdr:nvPicPr>
        <xdr:cNvPr id="2" name="1 Imagen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95249"/>
          <a:ext cx="1190625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95249</xdr:rowOff>
    </xdr:from>
    <xdr:to>
      <xdr:col>0</xdr:col>
      <xdr:colOff>1400175</xdr:colOff>
      <xdr:row>5</xdr:row>
      <xdr:rowOff>161925</xdr:rowOff>
    </xdr:to>
    <xdr:pic>
      <xdr:nvPicPr>
        <xdr:cNvPr id="2" name="1 Imagen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95249"/>
          <a:ext cx="1190625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95249</xdr:rowOff>
    </xdr:from>
    <xdr:to>
      <xdr:col>0</xdr:col>
      <xdr:colOff>1400175</xdr:colOff>
      <xdr:row>5</xdr:row>
      <xdr:rowOff>161925</xdr:rowOff>
    </xdr:to>
    <xdr:pic>
      <xdr:nvPicPr>
        <xdr:cNvPr id="2" name="1 Imagen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95249"/>
          <a:ext cx="1190625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95249</xdr:rowOff>
    </xdr:from>
    <xdr:to>
      <xdr:col>0</xdr:col>
      <xdr:colOff>1400175</xdr:colOff>
      <xdr:row>5</xdr:row>
      <xdr:rowOff>161925</xdr:rowOff>
    </xdr:to>
    <xdr:pic>
      <xdr:nvPicPr>
        <xdr:cNvPr id="2" name="1 Imagen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95249"/>
          <a:ext cx="1190625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I319"/>
  <sheetViews>
    <sheetView tabSelected="1" workbookViewId="0">
      <selection activeCell="F12" sqref="F12"/>
    </sheetView>
  </sheetViews>
  <sheetFormatPr defaultRowHeight="15"/>
  <cols>
    <col min="1" max="1" width="24.140625" customWidth="1"/>
    <col min="2" max="2" width="20.5703125" customWidth="1"/>
    <col min="3" max="6" width="18.140625" customWidth="1"/>
    <col min="7" max="7" width="13.7109375" customWidth="1"/>
    <col min="8" max="8" width="11.28515625" customWidth="1"/>
  </cols>
  <sheetData>
    <row r="1" spans="1:35" ht="23.25">
      <c r="A1" s="29" t="s">
        <v>0</v>
      </c>
      <c r="B1" s="29"/>
      <c r="C1" s="29"/>
      <c r="D1" s="29"/>
      <c r="E1" s="29"/>
      <c r="F1" s="29"/>
      <c r="G1" s="29"/>
      <c r="H1" s="2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3.25">
      <c r="A2" s="29" t="s">
        <v>1</v>
      </c>
      <c r="B2" s="29"/>
      <c r="C2" s="29"/>
      <c r="D2" s="29"/>
      <c r="E2" s="29"/>
      <c r="F2" s="29"/>
      <c r="G2" s="29"/>
      <c r="H2" s="2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23.25">
      <c r="A3" s="29" t="s">
        <v>2</v>
      </c>
      <c r="B3" s="29"/>
      <c r="C3" s="29"/>
      <c r="D3" s="29"/>
      <c r="E3" s="29"/>
      <c r="F3" s="29"/>
      <c r="G3" s="29"/>
      <c r="H3" s="2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23.25">
      <c r="A4" s="29" t="s">
        <v>20</v>
      </c>
      <c r="B4" s="29"/>
      <c r="C4" s="29"/>
      <c r="D4" s="29"/>
      <c r="E4" s="29"/>
      <c r="F4" s="29"/>
      <c r="G4" s="29"/>
      <c r="H4" s="2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39" customHeight="1" thickBot="1">
      <c r="A8" s="1"/>
      <c r="B8" s="2" t="s">
        <v>3</v>
      </c>
      <c r="C8" s="3" t="s">
        <v>4</v>
      </c>
      <c r="D8" s="2" t="s">
        <v>5</v>
      </c>
      <c r="E8" s="3" t="s">
        <v>6</v>
      </c>
      <c r="F8" s="2" t="s">
        <v>7</v>
      </c>
      <c r="G8" s="30" t="s">
        <v>13</v>
      </c>
      <c r="H8" s="3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>
      <c r="A9" s="38" t="s">
        <v>18</v>
      </c>
      <c r="B9" s="41">
        <f>51223.47+3349786+13126630.62</f>
        <v>16527640.09</v>
      </c>
      <c r="C9" s="41">
        <v>0</v>
      </c>
      <c r="D9" s="41">
        <v>0</v>
      </c>
      <c r="E9" s="41">
        <v>0</v>
      </c>
      <c r="F9" s="41">
        <v>0</v>
      </c>
      <c r="G9" s="32">
        <f>SUM(B9:F11)</f>
        <v>16527640.09</v>
      </c>
      <c r="H9" s="3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>
      <c r="A10" s="39"/>
      <c r="B10" s="42"/>
      <c r="C10" s="42"/>
      <c r="D10" s="42"/>
      <c r="E10" s="42"/>
      <c r="F10" s="42"/>
      <c r="G10" s="34"/>
      <c r="H10" s="3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5.75" thickBot="1">
      <c r="A11" s="40"/>
      <c r="B11" s="43"/>
      <c r="C11" s="43"/>
      <c r="D11" s="43"/>
      <c r="E11" s="43"/>
      <c r="F11" s="43"/>
      <c r="G11" s="36"/>
      <c r="H11" s="3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46.5" customHeight="1" thickBot="1">
      <c r="A12" s="19" t="s">
        <v>19</v>
      </c>
      <c r="B12" s="18">
        <v>12332700</v>
      </c>
      <c r="C12" s="18">
        <v>5774800</v>
      </c>
      <c r="D12" s="18">
        <v>3186550</v>
      </c>
      <c r="E12" s="18">
        <v>2003500</v>
      </c>
      <c r="F12" s="18">
        <v>1680075</v>
      </c>
      <c r="G12" s="44">
        <f>SUM(B12:F12)</f>
        <v>24977625</v>
      </c>
      <c r="H12" s="4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46.5" customHeight="1" thickBot="1">
      <c r="A13" s="17" t="s">
        <v>8</v>
      </c>
      <c r="B13" s="10">
        <f t="shared" ref="B13:F13" si="0">SUM(B9:B12)</f>
        <v>28860340.09</v>
      </c>
      <c r="C13" s="10">
        <f t="shared" si="0"/>
        <v>5774800</v>
      </c>
      <c r="D13" s="10">
        <f t="shared" si="0"/>
        <v>3186550</v>
      </c>
      <c r="E13" s="10">
        <f t="shared" si="0"/>
        <v>2003500</v>
      </c>
      <c r="F13" s="10">
        <f t="shared" si="0"/>
        <v>1680075</v>
      </c>
      <c r="G13" s="46">
        <f>SUM(G9:H12)</f>
        <v>41505265.090000004</v>
      </c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6" customFormat="1" ht="15" customHeight="1">
      <c r="A14" s="5"/>
      <c r="B14" s="4"/>
      <c r="C14" s="4"/>
      <c r="D14" s="4"/>
      <c r="E14" s="4"/>
      <c r="F14" s="4"/>
    </row>
    <row r="15" spans="1: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</sheetData>
  <mergeCells count="14">
    <mergeCell ref="G12:H12"/>
    <mergeCell ref="G13:H13"/>
    <mergeCell ref="A4:H4"/>
    <mergeCell ref="A3:H3"/>
    <mergeCell ref="A2:H2"/>
    <mergeCell ref="A1:H1"/>
    <mergeCell ref="G8:H8"/>
    <mergeCell ref="G9:H11"/>
    <mergeCell ref="A9:A11"/>
    <mergeCell ref="B9:B11"/>
    <mergeCell ref="C9:C11"/>
    <mergeCell ref="D9:D11"/>
    <mergeCell ref="E9:E11"/>
    <mergeCell ref="F9:F11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33"/>
  <sheetViews>
    <sheetView topLeftCell="A22" workbookViewId="0">
      <pane xSplit="1" topLeftCell="B1" activePane="topRight" state="frozen"/>
      <selection pane="topRight" activeCell="E11" sqref="E11"/>
    </sheetView>
  </sheetViews>
  <sheetFormatPr defaultRowHeight="15"/>
  <cols>
    <col min="1" max="1" width="51.42578125" customWidth="1"/>
    <col min="2" max="2" width="48.28515625" customWidth="1"/>
    <col min="4" max="4" width="9.28515625" customWidth="1"/>
  </cols>
  <sheetData>
    <row r="1" spans="1:30" ht="23.25">
      <c r="A1" s="29" t="s">
        <v>0</v>
      </c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>
      <c r="A2" s="29" t="s">
        <v>9</v>
      </c>
      <c r="B2" s="2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3.25">
      <c r="A3" s="29" t="s">
        <v>2</v>
      </c>
      <c r="B3" s="2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3.25">
      <c r="A4" s="48">
        <v>41640</v>
      </c>
      <c r="B4" s="2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9" customHeight="1" thickBot="1">
      <c r="A8" s="2" t="s">
        <v>10</v>
      </c>
      <c r="B8" s="2" t="s">
        <v>87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77.25" customHeight="1" thickBot="1">
      <c r="A9" s="12" t="s">
        <v>21</v>
      </c>
      <c r="B9" s="7">
        <f>24363.47+23680.38</f>
        <v>48043.850000000006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77.25" customHeight="1" thickBot="1">
      <c r="A10" s="13" t="s">
        <v>31</v>
      </c>
      <c r="B10" s="7">
        <v>51870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76.5" customHeight="1" thickBot="1">
      <c r="A11" s="13" t="s">
        <v>22</v>
      </c>
      <c r="B11" s="8">
        <f>2714+36964.5+18259+39710</f>
        <v>97647.5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76.5" customHeight="1" thickBot="1">
      <c r="A12" s="13" t="s">
        <v>32</v>
      </c>
      <c r="B12" s="8">
        <v>18989.02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76.5" customHeight="1" thickBot="1">
      <c r="A13" s="14" t="s">
        <v>23</v>
      </c>
      <c r="B13" s="21">
        <f>69495</f>
        <v>69495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76.5" customHeight="1" thickBot="1">
      <c r="A14" s="13" t="s">
        <v>14</v>
      </c>
      <c r="B14" s="7">
        <f>2825.1+3422</f>
        <v>6247.1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76.5" customHeight="1" thickBot="1">
      <c r="A15" s="13" t="s">
        <v>25</v>
      </c>
      <c r="B15" s="7">
        <f>2407.2</f>
        <v>2407.1999999999998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76.5" customHeight="1" thickBot="1">
      <c r="A16" s="13" t="s">
        <v>15</v>
      </c>
      <c r="B16" s="7">
        <f>6129.79</f>
        <v>6129.79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76.5" customHeight="1" thickBot="1">
      <c r="A17" s="13" t="s">
        <v>16</v>
      </c>
      <c r="B17" s="7">
        <f>514.96+277.3</f>
        <v>792.26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76.5" customHeight="1" thickBot="1">
      <c r="A18" s="13" t="s">
        <v>27</v>
      </c>
      <c r="B18" s="7">
        <f>82423.33</f>
        <v>82423.33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76.5" customHeight="1" thickBot="1">
      <c r="A19" s="13" t="s">
        <v>26</v>
      </c>
      <c r="B19" s="7">
        <f>2690.11+1699.2+19199.97+32079.6</f>
        <v>55668.880000000005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76.5" customHeight="1" thickBot="1">
      <c r="A20" s="12" t="s">
        <v>29</v>
      </c>
      <c r="B20" s="7">
        <f>20000</f>
        <v>20000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76.5" customHeight="1" thickBot="1">
      <c r="A21" s="13" t="s">
        <v>30</v>
      </c>
      <c r="B21" s="7">
        <v>12500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76.5" customHeight="1" thickBot="1">
      <c r="A22" s="14" t="s">
        <v>17</v>
      </c>
      <c r="B22" s="8">
        <f>72639.92+62298.1</f>
        <v>134938.01999999999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60.75" customHeight="1" thickBot="1">
      <c r="A23" s="13" t="s">
        <v>24</v>
      </c>
      <c r="B23" s="7">
        <f>20368.25</f>
        <v>20368.25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73.5" customHeight="1" thickBot="1">
      <c r="A24" s="13" t="s">
        <v>28</v>
      </c>
      <c r="B24" s="7">
        <f>13499.99</f>
        <v>13499.99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46.5" customHeight="1" thickBot="1">
      <c r="A25" s="20" t="s">
        <v>11</v>
      </c>
      <c r="B25" s="8">
        <f>86760+270104</f>
        <v>356864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6" customFormat="1" ht="47.25" customHeight="1" thickBot="1">
      <c r="A26" s="17" t="s">
        <v>12</v>
      </c>
      <c r="B26" s="11">
        <f>SUM(B9:B25)-8065.33</f>
        <v>989818.86</v>
      </c>
    </row>
    <row r="27" spans="1:30" ht="35.25" customHeight="1">
      <c r="A27" s="5"/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8.75">
      <c r="A28" s="15"/>
      <c r="B28" s="1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>
      <c r="A333" s="1"/>
      <c r="B333" s="1"/>
    </row>
  </sheetData>
  <mergeCells count="4">
    <mergeCell ref="A2:B2"/>
    <mergeCell ref="A1:B1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D359"/>
  <sheetViews>
    <sheetView workbookViewId="0">
      <pane xSplit="1" topLeftCell="B1" activePane="topRight" state="frozen"/>
      <selection pane="topRight" activeCell="B9" sqref="B9"/>
    </sheetView>
  </sheetViews>
  <sheetFormatPr defaultRowHeight="15"/>
  <cols>
    <col min="1" max="1" width="51.42578125" customWidth="1"/>
    <col min="2" max="2" width="48.28515625" customWidth="1"/>
    <col min="4" max="4" width="9.28515625" customWidth="1"/>
  </cols>
  <sheetData>
    <row r="1" spans="1:30" ht="23.25">
      <c r="A1" s="29" t="s">
        <v>0</v>
      </c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>
      <c r="A2" s="29" t="s">
        <v>9</v>
      </c>
      <c r="B2" s="2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3.25">
      <c r="A3" s="29" t="s">
        <v>2</v>
      </c>
      <c r="B3" s="2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3.25">
      <c r="A4" s="48">
        <v>41671</v>
      </c>
      <c r="B4" s="2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9" customHeight="1" thickBot="1">
      <c r="A8" s="2" t="s">
        <v>10</v>
      </c>
      <c r="B8" s="2" t="s">
        <v>87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77.25" customHeight="1" thickBot="1">
      <c r="A9" s="12" t="s">
        <v>21</v>
      </c>
      <c r="B9" s="7">
        <v>26725.81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77.25" customHeight="1" thickBot="1">
      <c r="A10" s="13" t="s">
        <v>47</v>
      </c>
      <c r="B10" s="7">
        <f>71+3224.94+8425.2+4039.36+20882.4</f>
        <v>36642.9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77.25" customHeight="1" thickBot="1">
      <c r="A11" s="13" t="s">
        <v>46</v>
      </c>
      <c r="B11" s="7">
        <f>3400+225+945+3780+1000+315+3150+225+4550+315+630+455+225+540</f>
        <v>19755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77.25" customHeight="1" thickBot="1">
      <c r="A12" s="13" t="s">
        <v>65</v>
      </c>
      <c r="B12" s="7">
        <f>1200+1200</f>
        <v>2400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77.25" customHeight="1" thickBot="1">
      <c r="A13" s="13" t="s">
        <v>61</v>
      </c>
      <c r="B13" s="7">
        <v>33040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77.25" customHeight="1" thickBot="1">
      <c r="A14" s="13" t="s">
        <v>60</v>
      </c>
      <c r="B14" s="7">
        <f>10030+59944+9605+31618.1</f>
        <v>111197.1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77.25" customHeight="1" thickBot="1">
      <c r="A15" s="13" t="s">
        <v>62</v>
      </c>
      <c r="B15" s="7">
        <v>3285.82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77.25" customHeight="1" thickBot="1">
      <c r="A16" s="13" t="s">
        <v>48</v>
      </c>
      <c r="B16" s="7">
        <v>3165.22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77.25" customHeight="1" thickBot="1">
      <c r="A17" s="13" t="s">
        <v>55</v>
      </c>
      <c r="B17" s="7">
        <v>1130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76.5" customHeight="1" thickBot="1">
      <c r="A18" s="13" t="s">
        <v>22</v>
      </c>
      <c r="B18" s="8">
        <f>8380+836.6</f>
        <v>9216.6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76.5" customHeight="1" thickBot="1">
      <c r="A19" s="13" t="s">
        <v>35</v>
      </c>
      <c r="B19" s="8">
        <f>3000+1500</f>
        <v>4500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76.5" customHeight="1" thickBot="1">
      <c r="A20" s="13" t="s">
        <v>56</v>
      </c>
      <c r="B20" s="8">
        <f>15624+30240</f>
        <v>45864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76.5" customHeight="1" thickBot="1">
      <c r="A21" s="13" t="s">
        <v>66</v>
      </c>
      <c r="B21" s="8">
        <v>110288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76.5" customHeight="1" thickBot="1">
      <c r="A22" s="13" t="s">
        <v>64</v>
      </c>
      <c r="B22" s="8">
        <v>22600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76.5" customHeight="1" thickBot="1">
      <c r="A23" s="13" t="s">
        <v>49</v>
      </c>
      <c r="B23" s="8">
        <v>1755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76.5" customHeight="1" thickBot="1">
      <c r="A24" s="13" t="s">
        <v>32</v>
      </c>
      <c r="B24" s="8">
        <f>16023.71+13965.46+246208+29335.5+5917.58+18133.64+28320</f>
        <v>357903.89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76.5" customHeight="1" thickBot="1">
      <c r="A25" s="14" t="s">
        <v>59</v>
      </c>
      <c r="B25" s="8">
        <v>13892.17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76.5" customHeight="1" thickBot="1">
      <c r="A26" s="14" t="s">
        <v>63</v>
      </c>
      <c r="B26" s="8">
        <v>727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76.5" customHeight="1" thickBot="1">
      <c r="A27" s="14" t="s">
        <v>38</v>
      </c>
      <c r="B27" s="8">
        <f>1335.01+1221.3+514.3</f>
        <v>3070.6099999999997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76.5" customHeight="1" thickBot="1">
      <c r="A28" s="14" t="s">
        <v>40</v>
      </c>
      <c r="B28" s="21">
        <f>354+8496.98</f>
        <v>8850.98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76.5" customHeight="1" thickBot="1">
      <c r="A29" s="13" t="s">
        <v>14</v>
      </c>
      <c r="B29" s="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76.5" customHeight="1" thickBot="1">
      <c r="A30" s="13" t="s">
        <v>25</v>
      </c>
      <c r="B30" s="7">
        <f>10464+118</f>
        <v>10582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76.5" customHeight="1" thickBot="1">
      <c r="A31" s="13" t="s">
        <v>53</v>
      </c>
      <c r="B31" s="7">
        <f>4786.23+112</f>
        <v>4898.2299999999996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76.5" customHeight="1" thickBot="1">
      <c r="A32" s="13" t="s">
        <v>33</v>
      </c>
      <c r="B32" s="7">
        <f>99.98+74.28+36351.91</f>
        <v>36526.170000000006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76.5" customHeight="1" thickBot="1">
      <c r="A33" s="13" t="s">
        <v>58</v>
      </c>
      <c r="B33" s="7">
        <v>29779.599999999999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76.5" customHeight="1" thickBot="1">
      <c r="A34" s="13" t="s">
        <v>51</v>
      </c>
      <c r="B34" s="7">
        <v>140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76.5" customHeight="1" thickBot="1">
      <c r="A35" s="13" t="s">
        <v>45</v>
      </c>
      <c r="B35" s="7">
        <f>53+1374.93+5.93+80</f>
        <v>1513.8600000000001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76.5" customHeight="1" thickBot="1">
      <c r="A36" s="13" t="s">
        <v>57</v>
      </c>
      <c r="B36" s="7">
        <v>56969.89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76.5" customHeight="1" thickBot="1">
      <c r="A37" s="13" t="s">
        <v>52</v>
      </c>
      <c r="B37" s="7">
        <v>60.75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customHeight="1" thickBot="1">
      <c r="A38" s="13" t="s">
        <v>43</v>
      </c>
      <c r="B38" s="7">
        <v>80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76.5" customHeight="1" thickBot="1">
      <c r="A39" s="13" t="s">
        <v>42</v>
      </c>
      <c r="B39" s="7">
        <f>129.8+680.01</f>
        <v>809.81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76.5" customHeight="1" thickBot="1">
      <c r="A40" s="13" t="s">
        <v>34</v>
      </c>
      <c r="B40" s="7">
        <f>14750+7119+6215</f>
        <v>28084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76.5" customHeight="1" thickBot="1">
      <c r="A41" s="13" t="s">
        <v>41</v>
      </c>
      <c r="B41" s="7">
        <f>279.73+270.7+12927.96+61.98</f>
        <v>13540.369999999999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76.5" customHeight="1" thickBot="1">
      <c r="A42" s="13" t="s">
        <v>26</v>
      </c>
      <c r="B42" s="7">
        <f>815+598+216+661.95</f>
        <v>2290.9499999999998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76.5" customHeight="1" thickBot="1">
      <c r="A43" s="12" t="s">
        <v>29</v>
      </c>
      <c r="B43" s="7">
        <f>8930.64+12088.46</f>
        <v>21019.1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76.5" customHeight="1" thickBot="1">
      <c r="A44" s="13" t="s">
        <v>30</v>
      </c>
      <c r="B44" s="7">
        <v>30000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60.75" customHeight="1" thickBot="1">
      <c r="A45" s="13" t="s">
        <v>24</v>
      </c>
      <c r="B45" s="7">
        <f>595+20370.65</f>
        <v>20965.650000000001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60.75" customHeight="1" thickBot="1">
      <c r="A46" s="13" t="s">
        <v>37</v>
      </c>
      <c r="B46" s="7">
        <f>1357+36408.6+100+4735.46</f>
        <v>42601.06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60.75" customHeight="1" thickBot="1">
      <c r="A47" s="13" t="s">
        <v>50</v>
      </c>
      <c r="B47" s="7">
        <f>1060+12430</f>
        <v>13490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60.75" customHeight="1" thickBot="1">
      <c r="A48" s="13" t="s">
        <v>54</v>
      </c>
      <c r="B48" s="7">
        <v>34988.19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60.75" customHeight="1" thickBot="1">
      <c r="A49" s="13" t="s">
        <v>39</v>
      </c>
      <c r="B49" s="7">
        <f>709.94+2360</f>
        <v>3069.94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60.75" customHeight="1" thickBot="1">
      <c r="A50" s="13" t="s">
        <v>44</v>
      </c>
      <c r="B50" s="7">
        <v>65.489999999999995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73.5" customHeight="1" thickBot="1">
      <c r="A51" s="20" t="s">
        <v>36</v>
      </c>
      <c r="B51" s="7">
        <f>1800+540</f>
        <v>2340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s="6" customFormat="1" ht="47.25" customHeight="1" thickBot="1">
      <c r="A52" s="17" t="s">
        <v>12</v>
      </c>
      <c r="B52" s="11">
        <f>SUM(B9:B51)-28930.47</f>
        <v>1140894.69</v>
      </c>
    </row>
    <row r="53" spans="1:30" ht="35.25" customHeight="1">
      <c r="A53" s="5"/>
      <c r="B53" s="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8.75">
      <c r="A54" s="15"/>
      <c r="B54" s="1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>
      <c r="A359" s="1"/>
      <c r="B359" s="1"/>
    </row>
  </sheetData>
  <mergeCells count="4">
    <mergeCell ref="A1:B1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D345"/>
  <sheetViews>
    <sheetView workbookViewId="0">
      <pane xSplit="1" topLeftCell="B1" activePane="topRight" state="frozen"/>
      <selection pane="topRight" activeCell="B9" sqref="B9"/>
    </sheetView>
  </sheetViews>
  <sheetFormatPr defaultRowHeight="15"/>
  <cols>
    <col min="1" max="1" width="51.42578125" customWidth="1"/>
    <col min="2" max="2" width="48.28515625" customWidth="1"/>
    <col min="4" max="4" width="9.28515625" customWidth="1"/>
  </cols>
  <sheetData>
    <row r="1" spans="1:30" ht="23.25">
      <c r="A1" s="29" t="s">
        <v>0</v>
      </c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>
      <c r="A2" s="29" t="s">
        <v>9</v>
      </c>
      <c r="B2" s="2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3.25">
      <c r="A3" s="29" t="s">
        <v>2</v>
      </c>
      <c r="B3" s="2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3.25">
      <c r="A4" s="48">
        <v>41699</v>
      </c>
      <c r="B4" s="2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9" customHeight="1" thickBot="1">
      <c r="A8" s="2" t="s">
        <v>10</v>
      </c>
      <c r="B8" s="2" t="s">
        <v>87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77.25" customHeight="1" thickBot="1">
      <c r="A9" s="12" t="s">
        <v>21</v>
      </c>
      <c r="B9" s="7">
        <v>21744.959999999999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77.25" customHeight="1" thickBot="1">
      <c r="A10" s="13" t="s">
        <v>47</v>
      </c>
      <c r="B10" s="7">
        <f>626.4+2836.9</f>
        <v>3463.3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77.25" customHeight="1" thickBot="1">
      <c r="A11" s="13" t="s">
        <v>46</v>
      </c>
      <c r="B11" s="7">
        <v>49890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77.25" customHeight="1" thickBot="1">
      <c r="A12" s="13" t="s">
        <v>65</v>
      </c>
      <c r="B12" s="7">
        <f>1500</f>
        <v>1500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77.25" customHeight="1" thickBot="1">
      <c r="A13" s="13" t="s">
        <v>71</v>
      </c>
      <c r="B13" s="7">
        <v>120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77.25" customHeight="1" thickBot="1">
      <c r="A14" s="13" t="s">
        <v>61</v>
      </c>
      <c r="B14" s="7">
        <v>4999.66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77.25" customHeight="1" thickBot="1">
      <c r="A15" s="13" t="s">
        <v>60</v>
      </c>
      <c r="B15" s="7">
        <f>20414</f>
        <v>20414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77.25" customHeight="1" thickBot="1">
      <c r="A16" s="13" t="s">
        <v>75</v>
      </c>
      <c r="B16" s="7">
        <v>1706.8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77.25" customHeight="1" thickBot="1">
      <c r="A17" s="13" t="s">
        <v>70</v>
      </c>
      <c r="B17" s="7">
        <v>240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76.5" customHeight="1" thickBot="1">
      <c r="A18" s="13" t="s">
        <v>73</v>
      </c>
      <c r="B18" s="8">
        <f>43053+50285+1991.49</f>
        <v>95329.49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76.5" customHeight="1" thickBot="1">
      <c r="A19" s="13" t="s">
        <v>72</v>
      </c>
      <c r="B19" s="8">
        <v>17237.29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76.5" customHeight="1" thickBot="1">
      <c r="A20" s="13" t="s">
        <v>32</v>
      </c>
      <c r="B20" s="8">
        <f>137227.96+14251.4+13786+10430.4+15245.74+29031.7+7251.18</f>
        <v>227224.37999999998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76.5" customHeight="1" thickBot="1">
      <c r="A21" s="14" t="s">
        <v>67</v>
      </c>
      <c r="B21" s="8">
        <f>50850+42750+207</f>
        <v>93807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76.5" customHeight="1" thickBot="1">
      <c r="A22" s="14" t="s">
        <v>76</v>
      </c>
      <c r="B22" s="8">
        <f>34465+4289.9+3152.81</f>
        <v>41907.71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76.5" customHeight="1" thickBot="1">
      <c r="A23" s="14" t="s">
        <v>74</v>
      </c>
      <c r="B23" s="7">
        <v>2712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76.5" customHeight="1" thickBot="1">
      <c r="A24" s="13" t="s">
        <v>25</v>
      </c>
      <c r="B24" s="7">
        <f>7852.37</f>
        <v>7852.37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76.5" customHeight="1" thickBot="1">
      <c r="A25" s="13" t="s">
        <v>53</v>
      </c>
      <c r="B25" s="7">
        <f>229.99+415.36</f>
        <v>645.35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76.5" customHeight="1" thickBot="1">
      <c r="A26" s="13" t="s">
        <v>58</v>
      </c>
      <c r="B26" s="7">
        <f>335.5+451.35</f>
        <v>786.85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76.5" customHeight="1" thickBot="1">
      <c r="A27" s="13" t="s">
        <v>51</v>
      </c>
      <c r="B27" s="7">
        <v>460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76.5" customHeight="1" thickBot="1">
      <c r="A28" s="13" t="s">
        <v>69</v>
      </c>
      <c r="B28" s="7">
        <v>785.5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76.5" customHeight="1" thickBot="1">
      <c r="A29" s="13" t="s">
        <v>34</v>
      </c>
      <c r="B29" s="7">
        <f>46470.12+1858.57</f>
        <v>48328.69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76.5" customHeight="1" thickBot="1">
      <c r="A30" s="13" t="s">
        <v>68</v>
      </c>
      <c r="B30" s="7">
        <v>999.61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76.5" customHeight="1" thickBot="1">
      <c r="A31" s="13" t="s">
        <v>41</v>
      </c>
      <c r="B31" s="7">
        <f>1006+10622.69</f>
        <v>11628.69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76.5" customHeight="1" thickBot="1">
      <c r="A32" s="13" t="s">
        <v>26</v>
      </c>
      <c r="B32" s="7">
        <f>532.46+1915.14+22339.76</f>
        <v>24787.360000000001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76.5" customHeight="1" thickBot="1">
      <c r="A33" s="12" t="s">
        <v>29</v>
      </c>
      <c r="B33" s="7">
        <v>4801.42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60.75" customHeight="1" thickBot="1">
      <c r="A34" s="13" t="s">
        <v>24</v>
      </c>
      <c r="B34" s="7">
        <f>125285.26</f>
        <v>125285.26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60.75" customHeight="1" thickBot="1">
      <c r="A35" s="13" t="s">
        <v>39</v>
      </c>
      <c r="B35" s="7">
        <f>10200.01+93810</f>
        <v>104010.01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60.75" customHeight="1" thickBot="1">
      <c r="A36" s="20" t="s">
        <v>28</v>
      </c>
      <c r="B36" s="7">
        <f>33335</f>
        <v>33335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73.5" customHeight="1" thickBot="1">
      <c r="A37" s="20" t="s">
        <v>36</v>
      </c>
      <c r="B37" s="7">
        <f>4000+10371</f>
        <v>14371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6" customFormat="1" ht="47.25" customHeight="1" thickBot="1">
      <c r="A38" s="17" t="s">
        <v>12</v>
      </c>
      <c r="B38" s="11">
        <f>SUM(B9:B37)-7437.27</f>
        <v>952936.42999999982</v>
      </c>
    </row>
    <row r="39" spans="1:30" ht="35.25" customHeight="1">
      <c r="A39" s="5"/>
      <c r="B39" s="9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8.75">
      <c r="A40" s="15"/>
      <c r="B40" s="1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>
      <c r="A345" s="1"/>
      <c r="B345" s="1"/>
    </row>
  </sheetData>
  <mergeCells count="4">
    <mergeCell ref="A1:B1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AD372"/>
  <sheetViews>
    <sheetView topLeftCell="A61" workbookViewId="0">
      <pane xSplit="1" topLeftCell="B1" activePane="topRight" state="frozen"/>
      <selection pane="topRight" activeCell="B65" sqref="B65"/>
    </sheetView>
  </sheetViews>
  <sheetFormatPr defaultRowHeight="15"/>
  <cols>
    <col min="1" max="1" width="51.42578125" customWidth="1"/>
    <col min="2" max="2" width="48.28515625" customWidth="1"/>
    <col min="4" max="4" width="9.28515625" customWidth="1"/>
  </cols>
  <sheetData>
    <row r="1" spans="1:30" ht="23.25">
      <c r="A1" s="29" t="s">
        <v>0</v>
      </c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>
      <c r="A2" s="29" t="s">
        <v>9</v>
      </c>
      <c r="B2" s="2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3.25">
      <c r="A3" s="29" t="s">
        <v>2</v>
      </c>
      <c r="B3" s="2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3.25">
      <c r="A4" s="48">
        <v>41730</v>
      </c>
      <c r="B4" s="2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9" customHeight="1" thickBot="1">
      <c r="A8" s="2" t="s">
        <v>10</v>
      </c>
      <c r="B8" s="2" t="s">
        <v>87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77.25" customHeight="1" thickBot="1">
      <c r="A9" s="12" t="s">
        <v>21</v>
      </c>
      <c r="B9" s="7">
        <v>24847.32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77.25" customHeight="1" thickBot="1">
      <c r="A10" s="13" t="s">
        <v>47</v>
      </c>
      <c r="B10" s="7">
        <f>3022.75+925.12</f>
        <v>3947.87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77.25" customHeight="1" thickBot="1">
      <c r="A11" s="13" t="s">
        <v>46</v>
      </c>
      <c r="B11" s="7">
        <f>14400+630+1000+1395+5850+5850+5850+3150+2610+2520+630+4050+4050+4050+4050+4050+3150+3150+3150+3150+3150+3150+36120+900+630+315+315+315+315+315+1890+315+1080+540+1395+315+520+900+630+650+2565+900+3150+450+315+1895+1105+1530+1260+315+1350+1105+1350+1700+5760+315+315+650+315+765+1350+3465+765+1980+1485+6110+2115+1350+2115+630+2880</f>
        <v>181850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77.25" customHeight="1" thickBot="1">
      <c r="A12" s="13" t="s">
        <v>80</v>
      </c>
      <c r="B12" s="7">
        <f>3395+150</f>
        <v>3545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77.25" customHeight="1" thickBot="1">
      <c r="A13" s="13" t="s">
        <v>65</v>
      </c>
      <c r="B13" s="7">
        <v>2000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77.25" customHeight="1" thickBot="1">
      <c r="A14" s="13" t="s">
        <v>83</v>
      </c>
      <c r="B14" s="7">
        <v>410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77.25" customHeight="1" thickBot="1">
      <c r="A15" s="13" t="s">
        <v>61</v>
      </c>
      <c r="B15" s="7">
        <v>7080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77.25" customHeight="1" thickBot="1">
      <c r="A16" s="13" t="s">
        <v>60</v>
      </c>
      <c r="B16" s="7">
        <f>90400+18390.3+7080</f>
        <v>115870.3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77.25" customHeight="1" thickBot="1">
      <c r="A17" s="13" t="s">
        <v>62</v>
      </c>
      <c r="B17" s="7">
        <v>731.23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77.25" customHeight="1" thickBot="1">
      <c r="A18" s="13" t="s">
        <v>48</v>
      </c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77.25" customHeight="1" thickBot="1">
      <c r="A19" s="13" t="s">
        <v>85</v>
      </c>
      <c r="B19" s="7">
        <v>360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77.25" customHeight="1" thickBot="1">
      <c r="A20" s="13" t="s">
        <v>55</v>
      </c>
      <c r="B20" s="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77.25" customHeight="1" thickBot="1">
      <c r="A21" s="13" t="s">
        <v>70</v>
      </c>
      <c r="B21" s="7">
        <v>84750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76.5" customHeight="1" thickBot="1">
      <c r="A22" s="13" t="s">
        <v>22</v>
      </c>
      <c r="B22" s="8">
        <f>10848+7517.37+10848+10848+399.98</f>
        <v>40461.35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76.5" customHeight="1" thickBot="1">
      <c r="A23" s="13" t="s">
        <v>35</v>
      </c>
      <c r="B23" s="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76.5" customHeight="1" thickBot="1">
      <c r="A24" s="13" t="s">
        <v>78</v>
      </c>
      <c r="B24" s="8">
        <v>27120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76.5" customHeight="1" thickBot="1">
      <c r="A25" s="13" t="s">
        <v>79</v>
      </c>
      <c r="B25" s="8">
        <v>10800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76.5" customHeight="1" thickBot="1">
      <c r="A26" s="13" t="s">
        <v>56</v>
      </c>
      <c r="B26" s="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76.5" customHeight="1" thickBot="1">
      <c r="A27" s="13" t="s">
        <v>66</v>
      </c>
      <c r="B27" s="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76.5" customHeight="1" thickBot="1">
      <c r="A28" s="13" t="s">
        <v>64</v>
      </c>
      <c r="B28" s="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76.5" customHeight="1" thickBot="1">
      <c r="A29" s="13" t="s">
        <v>49</v>
      </c>
      <c r="B29" s="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76.5" customHeight="1" thickBot="1">
      <c r="A30" s="13" t="s">
        <v>32</v>
      </c>
      <c r="B30" s="8">
        <f>23637.06+47355+16570.64+24120+17677.32+14750+21280+28243.3+42504</f>
        <v>236137.31999999998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76.5" customHeight="1" thickBot="1">
      <c r="A31" s="14" t="s">
        <v>59</v>
      </c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76.5" customHeight="1" thickBot="1">
      <c r="A32" s="14" t="s">
        <v>63</v>
      </c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76.5" customHeight="1" thickBot="1">
      <c r="A33" s="14" t="s">
        <v>67</v>
      </c>
      <c r="B33" s="8">
        <v>132.54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76.5" customHeight="1" thickBot="1">
      <c r="A34" s="14" t="s">
        <v>38</v>
      </c>
      <c r="B34" s="8">
        <f>637.78+671.21</f>
        <v>1308.99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76.5" customHeight="1" thickBot="1">
      <c r="A35" s="14" t="s">
        <v>40</v>
      </c>
      <c r="B35" s="21">
        <v>2186.5500000000002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76.5" customHeight="1" thickBot="1">
      <c r="A36" s="13" t="s">
        <v>14</v>
      </c>
      <c r="B36" s="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76.5" customHeight="1" thickBot="1">
      <c r="A37" s="13" t="s">
        <v>25</v>
      </c>
      <c r="B37" s="7">
        <v>59392.800000000003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customHeight="1" thickBot="1">
      <c r="A38" s="13" t="s">
        <v>84</v>
      </c>
      <c r="B38" s="7">
        <v>384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76.5" customHeight="1" thickBot="1">
      <c r="A39" s="13" t="s">
        <v>53</v>
      </c>
      <c r="B39" s="7">
        <f>14895.66+270</f>
        <v>15165.66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76.5" customHeight="1" thickBot="1">
      <c r="A40" s="13" t="s">
        <v>33</v>
      </c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76.5" customHeight="1" thickBot="1">
      <c r="A41" s="13" t="s">
        <v>81</v>
      </c>
      <c r="B41" s="7">
        <v>3500.03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76.5" customHeight="1" thickBot="1">
      <c r="A42" s="13" t="s">
        <v>58</v>
      </c>
      <c r="B42" s="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76.5" customHeight="1" thickBot="1">
      <c r="A43" s="13" t="s">
        <v>82</v>
      </c>
      <c r="B43" s="7">
        <v>2429.25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76.5" customHeight="1" thickBot="1">
      <c r="A44" s="13" t="s">
        <v>51</v>
      </c>
      <c r="B44" s="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76.5" customHeight="1" thickBot="1">
      <c r="A45" s="13" t="s">
        <v>45</v>
      </c>
      <c r="B45" s="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76.5" customHeight="1" thickBot="1">
      <c r="A46" s="13" t="s">
        <v>57</v>
      </c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76.5" customHeight="1" thickBot="1">
      <c r="A47" s="13" t="s">
        <v>52</v>
      </c>
      <c r="B47" s="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76.5" customHeight="1" thickBot="1">
      <c r="A48" s="13" t="s">
        <v>86</v>
      </c>
      <c r="B48" s="7">
        <v>200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76.5" customHeight="1" thickBot="1">
      <c r="A49" s="13" t="s">
        <v>43</v>
      </c>
      <c r="B49" s="7">
        <v>300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76.5" customHeight="1" thickBot="1">
      <c r="A50" s="13" t="s">
        <v>42</v>
      </c>
      <c r="B50" s="7">
        <v>59.96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76.5" customHeight="1" thickBot="1">
      <c r="A51" s="13" t="s">
        <v>69</v>
      </c>
      <c r="B51" s="7">
        <v>109.95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76.5" customHeight="1" thickBot="1">
      <c r="A52" s="13" t="s">
        <v>34</v>
      </c>
      <c r="B52" s="7">
        <v>4068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76.5" customHeight="1" thickBot="1">
      <c r="A53" s="13" t="s">
        <v>41</v>
      </c>
      <c r="B53" s="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76.5" customHeight="1" thickBot="1">
      <c r="A54" s="13" t="s">
        <v>26</v>
      </c>
      <c r="B54" s="7">
        <f>780.02+4773.16</f>
        <v>5553.18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76.5" customHeight="1" thickBot="1">
      <c r="A55" s="12" t="s">
        <v>29</v>
      </c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76.5" customHeight="1" thickBot="1">
      <c r="A56" s="13" t="s">
        <v>30</v>
      </c>
      <c r="B56" s="7">
        <v>8000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60.75" customHeight="1" thickBot="1">
      <c r="A57" s="13" t="s">
        <v>24</v>
      </c>
      <c r="B57" s="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60.75" customHeight="1" thickBot="1">
      <c r="A58" s="13" t="s">
        <v>37</v>
      </c>
      <c r="B58" s="7">
        <v>11678.26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60.75" customHeight="1" thickBot="1">
      <c r="A59" s="13" t="s">
        <v>50</v>
      </c>
      <c r="B59" s="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60.75" customHeight="1" thickBot="1">
      <c r="A60" s="13" t="s">
        <v>54</v>
      </c>
      <c r="B60" s="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60.75" customHeight="1" thickBot="1">
      <c r="A61" s="13" t="s">
        <v>39</v>
      </c>
      <c r="B61" s="7">
        <v>225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60.75" customHeight="1" thickBot="1">
      <c r="A62" s="13" t="s">
        <v>44</v>
      </c>
      <c r="B62" s="7">
        <v>650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60.75" customHeight="1" thickBot="1">
      <c r="A63" s="20" t="s">
        <v>36</v>
      </c>
      <c r="B63" s="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73.5" customHeight="1" thickBot="1">
      <c r="A64" s="20" t="s">
        <v>77</v>
      </c>
      <c r="B64" s="7">
        <f>72570.93+26087.4</f>
        <v>98658.329999999987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s="6" customFormat="1" ht="47.25" customHeight="1" thickBot="1">
      <c r="A65" s="17" t="s">
        <v>12</v>
      </c>
      <c r="B65" s="11">
        <f>SUM(B9:B64)</f>
        <v>953912.89</v>
      </c>
    </row>
    <row r="66" spans="1:30" ht="35.25" customHeight="1">
      <c r="A66" s="5"/>
      <c r="B66" s="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8.75">
      <c r="A67" s="15"/>
      <c r="B67" s="1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>
      <c r="A372" s="1"/>
      <c r="B372" s="1"/>
    </row>
  </sheetData>
  <mergeCells count="4">
    <mergeCell ref="A1:B1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AD366"/>
  <sheetViews>
    <sheetView topLeftCell="A55" workbookViewId="0">
      <pane xSplit="1" topLeftCell="B1" activePane="topRight" state="frozen"/>
      <selection pane="topRight" activeCell="D58" sqref="D58"/>
    </sheetView>
  </sheetViews>
  <sheetFormatPr defaultRowHeight="15"/>
  <cols>
    <col min="1" max="1" width="51.42578125" customWidth="1"/>
    <col min="2" max="2" width="48.28515625" customWidth="1"/>
    <col min="4" max="4" width="9.28515625" customWidth="1"/>
    <col min="5" max="5" width="11.5703125" bestFit="1" customWidth="1"/>
  </cols>
  <sheetData>
    <row r="1" spans="1:30" ht="23.25">
      <c r="A1" s="29" t="s">
        <v>0</v>
      </c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>
      <c r="A2" s="29" t="s">
        <v>9</v>
      </c>
      <c r="B2" s="2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3.25">
      <c r="A3" s="29" t="s">
        <v>2</v>
      </c>
      <c r="B3" s="2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3.25">
      <c r="A4" s="48">
        <v>41760</v>
      </c>
      <c r="B4" s="2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9" customHeight="1" thickBot="1">
      <c r="A8" s="2" t="s">
        <v>10</v>
      </c>
      <c r="B8" s="2" t="s">
        <v>87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77.25" customHeight="1" thickBot="1">
      <c r="A9" s="12" t="s">
        <v>21</v>
      </c>
      <c r="B9" s="7">
        <v>26981.97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77.25" customHeight="1" thickBot="1">
      <c r="A10" s="12" t="s">
        <v>31</v>
      </c>
      <c r="B10" s="7">
        <v>1400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77.25" customHeight="1" thickBot="1">
      <c r="A11" s="13" t="s">
        <v>47</v>
      </c>
      <c r="B11" s="24">
        <f>1485.71+100+642+1520+723+222</f>
        <v>4692.71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77.25" customHeight="1" thickBot="1">
      <c r="A12" s="13" t="s">
        <v>46</v>
      </c>
      <c r="B12" s="7">
        <f>35830+1755+1530+1890+1125+630+1820+9000+1000+1000+2000+1000+2000+1000+6000+50000+4550+43500</f>
        <v>165630</v>
      </c>
      <c r="C12" s="1"/>
      <c r="D12" s="1"/>
      <c r="E12" s="1"/>
      <c r="F12" s="22"/>
      <c r="G12" s="2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77.25" customHeight="1" thickBot="1">
      <c r="A13" s="13" t="s">
        <v>80</v>
      </c>
      <c r="B13" s="7">
        <f>415+250+200+6200+750+520+3000</f>
        <v>11335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77.25" customHeight="1" thickBot="1">
      <c r="A14" s="13" t="s">
        <v>65</v>
      </c>
      <c r="B14" s="7">
        <f>580+980+60</f>
        <v>1620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77.25" customHeight="1" thickBot="1">
      <c r="A15" s="13" t="s">
        <v>83</v>
      </c>
      <c r="B15" s="7">
        <f>180+1050+3780+510</f>
        <v>5520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77.25" customHeight="1" thickBot="1">
      <c r="A16" s="13" t="s">
        <v>61</v>
      </c>
      <c r="B16" s="7">
        <f>5900</f>
        <v>5900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77.25" customHeight="1" thickBot="1">
      <c r="A17" s="13" t="s">
        <v>75</v>
      </c>
      <c r="B17" s="7">
        <f>600+200</f>
        <v>800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77.25" customHeight="1" thickBot="1">
      <c r="A18" s="13" t="s">
        <v>48</v>
      </c>
      <c r="B18" s="7">
        <f>60381.35+55575</f>
        <v>115956.35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77.25" customHeight="1" thickBot="1">
      <c r="A19" s="13" t="s">
        <v>55</v>
      </c>
      <c r="B19" s="7">
        <f>3800+2200+800</f>
        <v>6800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77.25" customHeight="1" thickBot="1">
      <c r="A20" s="13" t="s">
        <v>70</v>
      </c>
      <c r="B20" s="7">
        <f>540+119.98</f>
        <v>659.98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76.5" customHeight="1" thickBot="1">
      <c r="A21" s="13" t="s">
        <v>73</v>
      </c>
      <c r="B21" s="8">
        <f>700+1262</f>
        <v>1962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76.5" customHeight="1" thickBot="1">
      <c r="A22" s="13" t="s">
        <v>56</v>
      </c>
      <c r="B22" s="8">
        <v>15624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76.5" customHeight="1" thickBot="1">
      <c r="A23" s="13" t="s">
        <v>64</v>
      </c>
      <c r="B23" s="8">
        <f>400+1200</f>
        <v>1600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76.5" customHeight="1" thickBot="1">
      <c r="A24" s="13" t="s">
        <v>90</v>
      </c>
      <c r="B24" s="8">
        <v>36442.5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76.5" customHeight="1" thickBot="1">
      <c r="A25" s="13" t="s">
        <v>32</v>
      </c>
      <c r="B25" s="8">
        <f>17244.47+1416.72+2076.27+1132.2+517.13+2234.84+1294.35+1369+5698.39+5321.75+3634+300+31360</f>
        <v>73599.12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76.5" customHeight="1" thickBot="1">
      <c r="A26" s="14" t="s">
        <v>89</v>
      </c>
      <c r="B26" s="8">
        <f>66500+7125</f>
        <v>73625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76.5" customHeight="1" thickBot="1">
      <c r="A27" s="14" t="s">
        <v>59</v>
      </c>
      <c r="B27" s="8">
        <v>1232.6600000000001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76.5" customHeight="1" thickBot="1">
      <c r="A28" s="14" t="s">
        <v>67</v>
      </c>
      <c r="B28" s="8">
        <f>578.48</f>
        <v>578.48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76.5" customHeight="1" thickBot="1">
      <c r="A29" s="14" t="s">
        <v>99</v>
      </c>
      <c r="B29" s="8">
        <f>183.8+2528.93+254.95+77.75+249+247+1158.6+132136</f>
        <v>136836.03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76.5" customHeight="1" thickBot="1">
      <c r="A30" s="14" t="s">
        <v>40</v>
      </c>
      <c r="B30" s="21">
        <f>39508.88+40</f>
        <v>39548.879999999997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76.5" customHeight="1" thickBot="1">
      <c r="A31" s="13" t="s">
        <v>98</v>
      </c>
      <c r="B31" s="7">
        <f>700</f>
        <v>700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76.5" customHeight="1" thickBot="1">
      <c r="A32" s="13" t="s">
        <v>84</v>
      </c>
      <c r="B32" s="7">
        <f>1500+550+107.45+72.01+115</f>
        <v>2344.46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76.5" customHeight="1" thickBot="1">
      <c r="A33" s="13" t="s">
        <v>53</v>
      </c>
      <c r="B33" s="7">
        <f>52743.31+2188.99+25.43+187.8+99+130+44.9+717+16284</f>
        <v>72420.429999999993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76.5" customHeight="1" thickBot="1">
      <c r="A34" s="13" t="s">
        <v>33</v>
      </c>
      <c r="B34" s="7">
        <f>283.2+70+1770</f>
        <v>2123.1999999999998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76.5" customHeight="1" thickBot="1">
      <c r="A35" s="13" t="s">
        <v>96</v>
      </c>
      <c r="B35" s="7">
        <v>90.86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76.5" customHeight="1" thickBot="1">
      <c r="A36" s="13" t="s">
        <v>82</v>
      </c>
      <c r="B36" s="7">
        <f>5990.01+2649+100+245+203+40</f>
        <v>9227.01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76.5" customHeight="1" thickBot="1">
      <c r="A37" s="13" t="s">
        <v>51</v>
      </c>
      <c r="B37" s="7">
        <f>3083.49+495+120</f>
        <v>3698.49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customHeight="1" thickBot="1">
      <c r="A38" s="13" t="s">
        <v>45</v>
      </c>
      <c r="B38" s="7">
        <f>6431+3640.04+704.32+8319+425</f>
        <v>19519.36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76.5" customHeight="1" thickBot="1">
      <c r="A39" s="13" t="s">
        <v>100</v>
      </c>
      <c r="B39" s="7">
        <f>65</f>
        <v>65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76.5" customHeight="1" thickBot="1">
      <c r="A40" s="13" t="s">
        <v>97</v>
      </c>
      <c r="B40" s="7">
        <f>1000+650</f>
        <v>1650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76.5" customHeight="1" thickBot="1">
      <c r="A41" s="13" t="s">
        <v>95</v>
      </c>
      <c r="B41" s="7">
        <f>100</f>
        <v>100</v>
      </c>
      <c r="C41" s="1"/>
      <c r="D41" s="2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76.5" customHeight="1" thickBot="1">
      <c r="A42" s="13" t="s">
        <v>93</v>
      </c>
      <c r="B42" s="7">
        <v>1055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76.5" customHeight="1" thickBot="1">
      <c r="A43" s="13" t="s">
        <v>86</v>
      </c>
      <c r="B43" s="7">
        <v>944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76.5" customHeight="1" thickBot="1">
      <c r="A44" s="13" t="s">
        <v>42</v>
      </c>
      <c r="B44" s="7">
        <f>780+209+31741.41</f>
        <v>32730.41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76.5" customHeight="1" thickBot="1">
      <c r="A45" s="13" t="s">
        <v>94</v>
      </c>
      <c r="B45" s="7">
        <f>780</f>
        <v>780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76.5" customHeight="1" thickBot="1">
      <c r="A46" s="13" t="s">
        <v>69</v>
      </c>
      <c r="B46" s="7">
        <f>3000.39+69.95+99.99+1325.11+2515.51+1115+453+59.9+543+755.01+37364.24</f>
        <v>47301.1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76.5" customHeight="1" thickBot="1">
      <c r="A47" s="13" t="s">
        <v>34</v>
      </c>
      <c r="B47" s="7">
        <f>4176.48+140+295+1311.73+1148</f>
        <v>7071.2099999999991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76.5" customHeight="1" thickBot="1">
      <c r="A48" s="13" t="s">
        <v>26</v>
      </c>
      <c r="B48" s="7">
        <f>4590.19+34432.4+395+440+340+693+435+190+1080+825</f>
        <v>43420.590000000004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76.5" customHeight="1" thickBot="1">
      <c r="A49" s="12" t="s">
        <v>29</v>
      </c>
      <c r="B49" s="7">
        <f>38160+35205.24+2975</f>
        <v>76340.239999999991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76.5" customHeight="1" thickBot="1">
      <c r="A50" s="13" t="s">
        <v>92</v>
      </c>
      <c r="B50" s="7">
        <v>2690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60.75" customHeight="1" thickBot="1">
      <c r="A51" s="13" t="s">
        <v>24</v>
      </c>
      <c r="B51" s="7">
        <f>600</f>
        <v>600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60.75" customHeight="1" thickBot="1">
      <c r="A52" s="13" t="s">
        <v>37</v>
      </c>
      <c r="B52" s="7">
        <v>29915.01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60.75" customHeight="1" thickBot="1">
      <c r="A53" s="13" t="s">
        <v>91</v>
      </c>
      <c r="B53" s="7">
        <v>6445.75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60.75" customHeight="1" thickBot="1">
      <c r="A54" s="13" t="s">
        <v>39</v>
      </c>
      <c r="B54" s="7">
        <f>362+24500</f>
        <v>24862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60.75" customHeight="1" thickBot="1">
      <c r="A55" s="13" t="s">
        <v>44</v>
      </c>
      <c r="B55" s="7">
        <f>2658</f>
        <v>2658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60.75" customHeight="1" thickBot="1">
      <c r="A56" s="20" t="s">
        <v>88</v>
      </c>
      <c r="B56" s="7">
        <v>24801.57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60.75" customHeight="1" thickBot="1">
      <c r="A57" s="20" t="s">
        <v>36</v>
      </c>
      <c r="B57" s="7">
        <v>5980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73.5" customHeight="1" thickBot="1">
      <c r="A58" s="20" t="s">
        <v>77</v>
      </c>
      <c r="B58" s="7">
        <f>34553.34+4387.5</f>
        <v>38940.839999999997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s="6" customFormat="1" ht="47.25" customHeight="1" thickBot="1">
      <c r="A59" s="17" t="s">
        <v>12</v>
      </c>
      <c r="B59" s="28">
        <f>SUM(B9:B58)</f>
        <v>1186819.2100000002</v>
      </c>
      <c r="E59" s="25"/>
      <c r="F59" s="27"/>
    </row>
    <row r="60" spans="1:30" ht="35.25" customHeight="1">
      <c r="A60" s="5"/>
      <c r="B60" s="9"/>
      <c r="C60" s="1"/>
      <c r="D60" s="1"/>
      <c r="E60" s="26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8.75">
      <c r="A61" s="15"/>
      <c r="B61" s="16"/>
      <c r="C61" s="1"/>
      <c r="D61" s="1"/>
      <c r="E61" s="26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26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"/>
      <c r="C63" s="1"/>
      <c r="D63" s="1"/>
      <c r="E63" s="2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2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1"/>
      <c r="C65" s="1"/>
      <c r="D65" s="1"/>
      <c r="E65" s="2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2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2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2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2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2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2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2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26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26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26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2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26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26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26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26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26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>
      <c r="A366" s="1"/>
      <c r="B366" s="1"/>
    </row>
  </sheetData>
  <mergeCells count="4">
    <mergeCell ref="A1:B1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INGRESOS</vt:lpstr>
      <vt:lpstr>GASTOS ENERO 2014</vt:lpstr>
      <vt:lpstr>GASTOS FEBRERO 2014</vt:lpstr>
      <vt:lpstr>GASTOS MARZO 2014</vt:lpstr>
      <vt:lpstr>GASTOS ABRIL 2014</vt:lpstr>
      <vt:lpstr>GASTOS DE MAYO 2014</vt:lpstr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junilka_grullon</dc:creator>
  <cp:lastModifiedBy>junilka_grullon</cp:lastModifiedBy>
  <cp:lastPrinted>2014-01-07T18:13:07Z</cp:lastPrinted>
  <dcterms:created xsi:type="dcterms:W3CDTF">2014-01-03T12:39:36Z</dcterms:created>
  <dcterms:modified xsi:type="dcterms:W3CDTF">2014-06-12T16:12:34Z</dcterms:modified>
</cp:coreProperties>
</file>